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d3ec5e7e82198ad/RESNET - SCC/Publication 002/Accreditation Forms/"/>
    </mc:Choice>
  </mc:AlternateContent>
  <xr:revisionPtr revIDLastSave="4" documentId="13_ncr:1_{0170E7FE-9D87-6947-AA18-B9523C57DFBE}" xr6:coauthVersionLast="47" xr6:coauthVersionMax="47" xr10:uidLastSave="{D195957C-CE41-4B1F-A6C2-AB92849FF010}"/>
  <bookViews>
    <workbookView xWindow="19090" yWindow="-110" windowWidth="19420" windowHeight="10420" xr2:uid="{00000000-000D-0000-FFFF-FFFF00000000}"/>
  </bookViews>
  <sheets>
    <sheet name="Results" sheetId="1" r:id="rId1"/>
    <sheet name="Worksheet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7" i="2" l="1"/>
  <c r="L16" i="2"/>
  <c r="L15" i="2"/>
  <c r="L14" i="2"/>
  <c r="L13" i="2"/>
  <c r="M17" i="2"/>
  <c r="M16" i="2"/>
  <c r="M15" i="2"/>
  <c r="M14" i="2"/>
  <c r="M13" i="2"/>
  <c r="K16" i="2"/>
  <c r="K17" i="2"/>
  <c r="K15" i="2"/>
  <c r="K14" i="2"/>
  <c r="K13" i="2"/>
  <c r="Y8" i="2" l="1"/>
  <c r="Y7" i="2"/>
  <c r="Y6" i="2"/>
  <c r="Y5" i="2"/>
  <c r="Y4" i="2"/>
  <c r="X8" i="2"/>
  <c r="W8" i="2"/>
  <c r="X7" i="2"/>
  <c r="W7" i="2"/>
  <c r="X6" i="2"/>
  <c r="W6" i="2"/>
  <c r="X5" i="2"/>
  <c r="W5" i="2"/>
  <c r="X4" i="2"/>
  <c r="W4" i="2"/>
  <c r="Z6" i="2" l="1"/>
  <c r="Z4" i="2"/>
  <c r="Z7" i="2"/>
  <c r="Z8" i="2"/>
  <c r="Z5" i="2"/>
  <c r="J17" i="2" l="1"/>
  <c r="J15" i="2"/>
  <c r="J14" i="2"/>
  <c r="J16" i="2" l="1"/>
  <c r="J13" i="2"/>
  <c r="I17" i="2"/>
  <c r="H17" i="2"/>
  <c r="G17" i="2"/>
  <c r="F17" i="2"/>
  <c r="E17" i="2"/>
  <c r="I16" i="2"/>
  <c r="H16" i="2"/>
  <c r="G16" i="2"/>
  <c r="F16" i="2"/>
  <c r="E16" i="2"/>
  <c r="I15" i="2"/>
  <c r="H15" i="2"/>
  <c r="G15" i="2"/>
  <c r="F15" i="2"/>
  <c r="E15" i="2"/>
  <c r="I14" i="2"/>
  <c r="H14" i="2"/>
  <c r="G14" i="2"/>
  <c r="F14" i="2"/>
  <c r="E14" i="2"/>
  <c r="I13" i="2"/>
  <c r="H13" i="2"/>
  <c r="G13" i="2"/>
  <c r="F13" i="2"/>
  <c r="E13" i="2"/>
  <c r="N15" i="2" l="1"/>
  <c r="AB6" i="2" s="1"/>
  <c r="N14" i="2"/>
  <c r="AB5" i="2" s="1"/>
  <c r="N13" i="2"/>
  <c r="AB4" i="2" s="1"/>
  <c r="N16" i="2"/>
  <c r="AB7" i="2" s="1"/>
  <c r="N17" i="2"/>
  <c r="AB8" i="2" s="1"/>
  <c r="M5" i="2"/>
  <c r="B4" i="2" l="1"/>
  <c r="C4" i="2"/>
  <c r="F4" i="2"/>
  <c r="G4" i="2"/>
  <c r="K4" i="2"/>
  <c r="L4" i="2"/>
  <c r="M4" i="2"/>
  <c r="N4" i="2"/>
  <c r="H4" i="2" s="1"/>
  <c r="O4" i="2"/>
  <c r="I4" i="2" s="1"/>
  <c r="P4" i="2"/>
  <c r="J4" i="2" s="1"/>
  <c r="B5" i="2"/>
  <c r="C5" i="2"/>
  <c r="F5" i="2"/>
  <c r="G5" i="2"/>
  <c r="K5" i="2"/>
  <c r="L5" i="2"/>
  <c r="N5" i="2"/>
  <c r="H5" i="2" s="1"/>
  <c r="O5" i="2"/>
  <c r="I5" i="2" s="1"/>
  <c r="P5" i="2"/>
  <c r="J5" i="2" s="1"/>
  <c r="B6" i="2"/>
  <c r="C6" i="2"/>
  <c r="F6" i="2"/>
  <c r="G6" i="2"/>
  <c r="K6" i="2"/>
  <c r="L6" i="2"/>
  <c r="M6" i="2"/>
  <c r="N6" i="2"/>
  <c r="H6" i="2" s="1"/>
  <c r="O6" i="2"/>
  <c r="I6" i="2" s="1"/>
  <c r="P6" i="2"/>
  <c r="J6" i="2" s="1"/>
  <c r="B7" i="2"/>
  <c r="C7" i="2"/>
  <c r="F7" i="2"/>
  <c r="G7" i="2"/>
  <c r="K7" i="2"/>
  <c r="L7" i="2"/>
  <c r="M7" i="2"/>
  <c r="N7" i="2"/>
  <c r="H7" i="2" s="1"/>
  <c r="O7" i="2"/>
  <c r="I7" i="2" s="1"/>
  <c r="P7" i="2"/>
  <c r="J7" i="2" s="1"/>
  <c r="B8" i="2"/>
  <c r="C8" i="2"/>
  <c r="F8" i="2"/>
  <c r="G8" i="2"/>
  <c r="K8" i="2"/>
  <c r="L8" i="2"/>
  <c r="M8" i="2"/>
  <c r="N8" i="2"/>
  <c r="H8" i="2" s="1"/>
  <c r="O8" i="2"/>
  <c r="I8" i="2" s="1"/>
  <c r="P8" i="2"/>
  <c r="J8" i="2" s="1"/>
  <c r="R4" i="2" l="1"/>
  <c r="U4" i="2" s="1"/>
  <c r="R8" i="2"/>
  <c r="U8" i="2" s="1"/>
  <c r="Q4" i="2"/>
  <c r="T4" i="2" s="1"/>
  <c r="R6" i="2"/>
  <c r="U6" i="2" s="1"/>
  <c r="R5" i="2"/>
  <c r="U5" i="2" s="1"/>
  <c r="S4" i="2"/>
  <c r="V4" i="2" s="1"/>
  <c r="R7" i="2"/>
  <c r="U7" i="2" s="1"/>
  <c r="S7" i="2"/>
  <c r="V7" i="2" s="1"/>
  <c r="Q7" i="2"/>
  <c r="T7" i="2" s="1"/>
  <c r="Q5" i="2"/>
  <c r="T5" i="2" s="1"/>
  <c r="S5" i="2"/>
  <c r="V5" i="2" s="1"/>
  <c r="S8" i="2"/>
  <c r="V8" i="2" s="1"/>
  <c r="Q8" i="2"/>
  <c r="T8" i="2" s="1"/>
  <c r="S6" i="2"/>
  <c r="V6" i="2" s="1"/>
  <c r="Q6" i="2"/>
  <c r="T6" i="2" s="1"/>
  <c r="AA4" i="2" l="1"/>
  <c r="AC4" i="2" s="1"/>
  <c r="AA7" i="2"/>
  <c r="AC7" i="2" s="1"/>
  <c r="AA6" i="2"/>
  <c r="AC6" i="2" s="1"/>
  <c r="AA8" i="2"/>
  <c r="AC8" i="2" s="1"/>
  <c r="AA5" i="2"/>
  <c r="AC5" i="2" s="1"/>
  <c r="N8" i="1" l="1"/>
  <c r="N9" i="1"/>
  <c r="N12" i="1"/>
  <c r="N10" i="1"/>
  <c r="N11" i="1"/>
</calcChain>
</file>

<file path=xl/sharedStrings.xml><?xml version="1.0" encoding="utf-8"?>
<sst xmlns="http://schemas.openxmlformats.org/spreadsheetml/2006/main" count="119" uniqueCount="63">
  <si>
    <t>HERS 2019A Method Tests</t>
  </si>
  <si>
    <t xml:space="preserve">Software Name: </t>
  </si>
  <si>
    <t>(for use with Pub 002-2020)</t>
  </si>
  <si>
    <t>User input data fields indicated by pale yellow</t>
  </si>
  <si>
    <t>Test result fields indicated by pale green</t>
  </si>
  <si>
    <t>Test Case</t>
  </si>
  <si>
    <t>HERS Index</t>
  </si>
  <si>
    <t>Reference Home End Use Loads (REUL)</t>
  </si>
  <si>
    <t>Reference Home End Use Energy Consumption (EC_r)</t>
  </si>
  <si>
    <t>Rated Home End Use Energy Consumption (EC_x)</t>
  </si>
  <si>
    <r>
      <t>IAD</t>
    </r>
    <r>
      <rPr>
        <vertAlign val="subscript"/>
        <sz val="10"/>
        <rFont val="Arial"/>
        <family val="2"/>
      </rPr>
      <t>SAVE</t>
    </r>
    <r>
      <rPr>
        <sz val="10"/>
        <rFont val="Arial"/>
        <family val="2"/>
      </rPr>
      <t xml:space="preserve">
(%)</t>
    </r>
  </si>
  <si>
    <t>HERS Index Tests</t>
  </si>
  <si>
    <t>Manufacturer's Equipment Performance Rating (MEPR)</t>
  </si>
  <si>
    <t>Winter</t>
  </si>
  <si>
    <t>Summer</t>
  </si>
  <si>
    <t>Hot Water</t>
  </si>
  <si>
    <t>Heating</t>
  </si>
  <si>
    <t>Cooling</t>
  </si>
  <si>
    <t>L&amp;A</t>
  </si>
  <si>
    <t>(MBtu)</t>
  </si>
  <si>
    <t>Fuel</t>
  </si>
  <si>
    <t>MEPR</t>
  </si>
  <si>
    <t>L100A-01</t>
  </si>
  <si>
    <t>elec</t>
  </si>
  <si>
    <t>L100A-02</t>
  </si>
  <si>
    <t>gas</t>
  </si>
  <si>
    <t>L100A-03</t>
  </si>
  <si>
    <t>L100A-04</t>
  </si>
  <si>
    <t>L100A-05</t>
  </si>
  <si>
    <t>Coefficients</t>
  </si>
  <si>
    <t>DSE_r</t>
  </si>
  <si>
    <t>EEC_x</t>
  </si>
  <si>
    <t>EEC_r</t>
  </si>
  <si>
    <t>nEC_x</t>
  </si>
  <si>
    <t>nMEUL</t>
  </si>
  <si>
    <t>Index Adjustment Factor</t>
  </si>
  <si>
    <t>Total Loads</t>
  </si>
  <si>
    <t>HERS Score</t>
  </si>
  <si>
    <t xml:space="preserve">Cooling </t>
  </si>
  <si>
    <r>
      <t>IAF</t>
    </r>
    <r>
      <rPr>
        <vertAlign val="subscript"/>
        <sz val="10"/>
        <rFont val="Arial"/>
        <family val="2"/>
      </rPr>
      <t>CFA</t>
    </r>
  </si>
  <si>
    <r>
      <t>IAF</t>
    </r>
    <r>
      <rPr>
        <vertAlign val="subscript"/>
        <sz val="10"/>
        <rFont val="Arial"/>
        <family val="2"/>
      </rPr>
      <t>Nbr</t>
    </r>
  </si>
  <si>
    <r>
      <t>IAF</t>
    </r>
    <r>
      <rPr>
        <vertAlign val="subscript"/>
        <sz val="10"/>
        <rFont val="Arial"/>
        <family val="2"/>
      </rPr>
      <t>NS</t>
    </r>
  </si>
  <si>
    <r>
      <t>IAF</t>
    </r>
    <r>
      <rPr>
        <vertAlign val="subscript"/>
        <sz val="10"/>
        <rFont val="Arial"/>
        <family val="2"/>
      </rPr>
      <t>RH</t>
    </r>
  </si>
  <si>
    <t>TnML</t>
  </si>
  <si>
    <t>TRL</t>
  </si>
  <si>
    <t>a</t>
  </si>
  <si>
    <t>b</t>
  </si>
  <si>
    <t xml:space="preserve"> </t>
  </si>
  <si>
    <t xml:space="preserve">Home </t>
  </si>
  <si>
    <t>Lighting &amp; Appliance Energy Uses</t>
  </si>
  <si>
    <t>CFA</t>
  </si>
  <si>
    <t>Nbr</t>
  </si>
  <si>
    <t>NS</t>
  </si>
  <si>
    <t>resMELs</t>
  </si>
  <si>
    <t>intLgt</t>
  </si>
  <si>
    <t>extLgts</t>
  </si>
  <si>
    <t>Fridg</t>
  </si>
  <si>
    <t>TVs</t>
  </si>
  <si>
    <t>R/O</t>
  </si>
  <si>
    <t>cDryer</t>
  </si>
  <si>
    <t>dWash</t>
  </si>
  <si>
    <t>cWash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</si>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</sst>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164" formatCode="0.0000"/>
    <numFmt numFmtId="165" formatCode="0.0"/>
    <numFmt numFmtId="166" formatCode="0.000%"/>
    <numFmt numFmtId="167" formatCode="0.0%"/>
  </numFmts>
  <fonts count="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vertAlign val="subscript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9"/>
      </patternFill>
    </fill>
    <fill>
      <patternFill patternType="solid">
        <fgColor indexed="43"/>
        <bgColor indexed="9"/>
      </patternFill>
    </fill>
    <fill>
      <patternFill patternType="solid">
        <fgColor indexed="43"/>
        <bgColor indexed="64"/>
      </patternFill>
    </fill>
  </fills>
  <borders count="83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14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0" fontId="5" fillId="0" borderId="1" applyNumberFormat="0" applyFont="0" applyBorder="0" applyAlignment="0" applyProtection="0"/>
    <xf numFmtId="0" fontId="3" fillId="0" borderId="0"/>
  </cellStyleXfs>
  <cellXfs count="162">
    <xf numFmtId="0" fontId="0" fillId="0" borderId="0" xfId="0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9" fontId="0" fillId="0" borderId="11" xfId="0" applyNumberFormat="1" applyBorder="1" applyAlignment="1">
      <alignment horizontal="center"/>
    </xf>
    <xf numFmtId="9" fontId="0" fillId="0" borderId="8" xfId="0" applyNumberFormat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Continuous"/>
    </xf>
    <xf numFmtId="0" fontId="0" fillId="0" borderId="17" xfId="0" applyBorder="1" applyAlignment="1">
      <alignment horizontal="centerContinuous"/>
    </xf>
    <xf numFmtId="0" fontId="0" fillId="0" borderId="18" xfId="0" applyBorder="1" applyAlignment="1">
      <alignment horizontal="centerContinuous"/>
    </xf>
    <xf numFmtId="0" fontId="0" fillId="0" borderId="19" xfId="0" applyBorder="1" applyAlignment="1">
      <alignment horizontal="centerContinuous"/>
    </xf>
    <xf numFmtId="0" fontId="0" fillId="0" borderId="20" xfId="0" applyBorder="1" applyAlignment="1">
      <alignment horizontal="centerContinuous"/>
    </xf>
    <xf numFmtId="0" fontId="0" fillId="0" borderId="21" xfId="0" applyBorder="1" applyAlignment="1">
      <alignment horizontal="centerContinuous"/>
    </xf>
    <xf numFmtId="0" fontId="0" fillId="0" borderId="22" xfId="0" applyBorder="1" applyAlignment="1">
      <alignment horizontal="centerContinuous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64" fontId="0" fillId="0" borderId="2" xfId="0" applyNumberFormat="1" applyBorder="1" applyAlignment="1"/>
    <xf numFmtId="164" fontId="0" fillId="0" borderId="25" xfId="0" applyNumberFormat="1" applyBorder="1" applyAlignment="1"/>
    <xf numFmtId="164" fontId="0" fillId="0" borderId="26" xfId="0" applyNumberFormat="1" applyBorder="1" applyAlignment="1"/>
    <xf numFmtId="164" fontId="0" fillId="0" borderId="27" xfId="0" applyNumberFormat="1" applyBorder="1" applyAlignment="1"/>
    <xf numFmtId="164" fontId="0" fillId="0" borderId="28" xfId="0" applyNumberFormat="1" applyBorder="1" applyAlignment="1"/>
    <xf numFmtId="164" fontId="0" fillId="0" borderId="0" xfId="0" applyNumberFormat="1" applyAlignment="1"/>
    <xf numFmtId="164" fontId="0" fillId="0" borderId="29" xfId="0" applyNumberFormat="1" applyBorder="1" applyAlignment="1"/>
    <xf numFmtId="164" fontId="0" fillId="0" borderId="30" xfId="0" applyNumberFormat="1" applyBorder="1" applyAlignment="1"/>
    <xf numFmtId="0" fontId="0" fillId="0" borderId="31" xfId="0" applyBorder="1" applyAlignment="1">
      <alignment horizontal="centerContinuous"/>
    </xf>
    <xf numFmtId="164" fontId="0" fillId="0" borderId="32" xfId="0" applyNumberFormat="1" applyBorder="1" applyAlignment="1"/>
    <xf numFmtId="164" fontId="0" fillId="0" borderId="33" xfId="0" applyNumberFormat="1" applyBorder="1" applyAlignment="1"/>
    <xf numFmtId="2" fontId="0" fillId="0" borderId="34" xfId="0" applyNumberFormat="1" applyBorder="1" applyAlignment="1"/>
    <xf numFmtId="164" fontId="0" fillId="0" borderId="35" xfId="0" applyNumberFormat="1" applyBorder="1" applyAlignment="1"/>
    <xf numFmtId="0" fontId="0" fillId="0" borderId="36" xfId="0" applyBorder="1" applyAlignment="1">
      <alignment horizontal="center"/>
    </xf>
    <xf numFmtId="0" fontId="0" fillId="2" borderId="37" xfId="0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0" fillId="2" borderId="39" xfId="0" applyFill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165" fontId="0" fillId="0" borderId="0" xfId="0" applyNumberFormat="1" applyAlignment="1"/>
    <xf numFmtId="166" fontId="0" fillId="0" borderId="0" xfId="0" applyNumberFormat="1" applyAlignment="1"/>
    <xf numFmtId="0" fontId="0" fillId="2" borderId="19" xfId="0" applyFill="1" applyBorder="1" applyAlignment="1">
      <alignment horizontal="centerContinuous"/>
    </xf>
    <xf numFmtId="0" fontId="0" fillId="2" borderId="20" xfId="0" applyFill="1" applyBorder="1" applyAlignment="1">
      <alignment horizontal="centerContinuous"/>
    </xf>
    <xf numFmtId="0" fontId="0" fillId="2" borderId="18" xfId="0" applyFill="1" applyBorder="1" applyAlignment="1">
      <alignment horizontal="centerContinuous"/>
    </xf>
    <xf numFmtId="2" fontId="0" fillId="0" borderId="40" xfId="0" applyNumberFormat="1" applyBorder="1" applyAlignment="1"/>
    <xf numFmtId="0" fontId="0" fillId="0" borderId="41" xfId="0" applyBorder="1" applyAlignment="1">
      <alignment horizontal="center"/>
    </xf>
    <xf numFmtId="0" fontId="0" fillId="0" borderId="16" xfId="0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 applyProtection="1">
      <alignment horizontal="center"/>
      <protection locked="0"/>
    </xf>
    <xf numFmtId="0" fontId="0" fillId="3" borderId="19" xfId="0" applyFill="1" applyBorder="1" applyAlignment="1">
      <alignment horizontal="centerContinuous"/>
    </xf>
    <xf numFmtId="0" fontId="0" fillId="3" borderId="20" xfId="0" applyFill="1" applyBorder="1" applyAlignment="1">
      <alignment horizontal="centerContinuous"/>
    </xf>
    <xf numFmtId="165" fontId="0" fillId="3" borderId="20" xfId="0" applyNumberFormat="1" applyFill="1" applyBorder="1" applyAlignment="1">
      <alignment horizontal="centerContinuous"/>
    </xf>
    <xf numFmtId="0" fontId="0" fillId="3" borderId="18" xfId="0" applyFill="1" applyBorder="1" applyAlignment="1">
      <alignment horizontal="centerContinuous"/>
    </xf>
    <xf numFmtId="2" fontId="0" fillId="4" borderId="56" xfId="0" applyNumberFormat="1" applyFill="1" applyBorder="1" applyAlignment="1" applyProtection="1">
      <alignment horizontal="center"/>
      <protection locked="0"/>
    </xf>
    <xf numFmtId="2" fontId="0" fillId="4" borderId="57" xfId="0" applyNumberFormat="1" applyFill="1" applyBorder="1" applyAlignment="1" applyProtection="1">
      <alignment horizontal="center"/>
      <protection locked="0"/>
    </xf>
    <xf numFmtId="2" fontId="0" fillId="4" borderId="58" xfId="0" applyNumberFormat="1" applyFill="1" applyBorder="1" applyAlignment="1" applyProtection="1">
      <alignment horizontal="center"/>
      <protection locked="0"/>
    </xf>
    <xf numFmtId="2" fontId="0" fillId="4" borderId="59" xfId="0" applyNumberFormat="1" applyFill="1" applyBorder="1" applyAlignment="1" applyProtection="1">
      <alignment horizontal="center"/>
      <protection locked="0"/>
    </xf>
    <xf numFmtId="2" fontId="0" fillId="4" borderId="60" xfId="0" applyNumberFormat="1" applyFill="1" applyBorder="1" applyAlignment="1" applyProtection="1">
      <alignment horizontal="center"/>
      <protection locked="0"/>
    </xf>
    <xf numFmtId="2" fontId="0" fillId="4" borderId="61" xfId="0" applyNumberFormat="1" applyFill="1" applyBorder="1" applyAlignment="1" applyProtection="1">
      <alignment horizontal="center"/>
      <protection locked="0"/>
    </xf>
    <xf numFmtId="2" fontId="0" fillId="4" borderId="62" xfId="0" applyNumberFormat="1" applyFill="1" applyBorder="1" applyAlignment="1" applyProtection="1">
      <alignment horizontal="center"/>
      <protection locked="0"/>
    </xf>
    <xf numFmtId="2" fontId="0" fillId="4" borderId="63" xfId="0" applyNumberFormat="1" applyFill="1" applyBorder="1" applyAlignment="1" applyProtection="1">
      <alignment horizontal="center"/>
      <protection locked="0"/>
    </xf>
    <xf numFmtId="2" fontId="0" fillId="4" borderId="64" xfId="0" applyNumberFormat="1" applyFill="1" applyBorder="1" applyAlignment="1" applyProtection="1">
      <alignment horizontal="center"/>
      <protection locked="0"/>
    </xf>
    <xf numFmtId="2" fontId="0" fillId="4" borderId="65" xfId="0" applyNumberFormat="1" applyFill="1" applyBorder="1" applyAlignment="1" applyProtection="1">
      <alignment horizontal="center"/>
      <protection locked="0"/>
    </xf>
    <xf numFmtId="2" fontId="0" fillId="4" borderId="66" xfId="0" applyNumberFormat="1" applyFill="1" applyBorder="1" applyAlignment="1" applyProtection="1">
      <alignment horizontal="center"/>
      <protection locked="0"/>
    </xf>
    <xf numFmtId="2" fontId="0" fillId="4" borderId="67" xfId="0" applyNumberFormat="1" applyFill="1" applyBorder="1" applyAlignment="1" applyProtection="1">
      <alignment horizontal="center"/>
      <protection locked="0"/>
    </xf>
    <xf numFmtId="2" fontId="0" fillId="4" borderId="68" xfId="0" applyNumberFormat="1" applyFill="1" applyBorder="1" applyAlignment="1" applyProtection="1">
      <alignment horizontal="center"/>
      <protection locked="0"/>
    </xf>
    <xf numFmtId="2" fontId="0" fillId="4" borderId="69" xfId="0" applyNumberFormat="1" applyFill="1" applyBorder="1" applyAlignment="1" applyProtection="1">
      <alignment horizontal="center"/>
      <protection locked="0"/>
    </xf>
    <xf numFmtId="2" fontId="0" fillId="4" borderId="70" xfId="0" applyNumberFormat="1" applyFill="1" applyBorder="1" applyAlignment="1" applyProtection="1">
      <alignment horizontal="center"/>
      <protection locked="0"/>
    </xf>
    <xf numFmtId="0" fontId="3" fillId="0" borderId="0" xfId="8" applyAlignment="1">
      <alignment horizontal="right"/>
    </xf>
    <xf numFmtId="0" fontId="0" fillId="0" borderId="13" xfId="0" applyBorder="1" applyAlignment="1">
      <alignment horizontal="center"/>
    </xf>
    <xf numFmtId="0" fontId="0" fillId="0" borderId="76" xfId="0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78" xfId="0" applyFont="1" applyBorder="1" applyAlignment="1">
      <alignment horizontal="center"/>
    </xf>
    <xf numFmtId="0" fontId="3" fillId="0" borderId="79" xfId="0" applyFon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2" fontId="0" fillId="0" borderId="80" xfId="0" applyNumberFormat="1" applyBorder="1" applyAlignment="1">
      <alignment horizontal="center"/>
    </xf>
    <xf numFmtId="2" fontId="0" fillId="0" borderId="76" xfId="0" applyNumberFormat="1" applyBorder="1" applyAlignment="1">
      <alignment horizontal="center"/>
    </xf>
    <xf numFmtId="2" fontId="0" fillId="0" borderId="77" xfId="0" applyNumberFormat="1" applyBorder="1" applyAlignment="1">
      <alignment horizontal="center"/>
    </xf>
    <xf numFmtId="2" fontId="0" fillId="0" borderId="29" xfId="0" applyNumberFormat="1" applyBorder="1" applyAlignment="1">
      <alignment horizontal="center"/>
    </xf>
    <xf numFmtId="2" fontId="0" fillId="0" borderId="81" xfId="0" applyNumberFormat="1" applyBorder="1" applyAlignment="1">
      <alignment horizontal="center"/>
    </xf>
    <xf numFmtId="2" fontId="0" fillId="0" borderId="0" xfId="0" applyNumberFormat="1" applyAlignment="1"/>
    <xf numFmtId="0" fontId="0" fillId="0" borderId="42" xfId="0" applyBorder="1" applyAlignment="1"/>
    <xf numFmtId="0" fontId="0" fillId="0" borderId="42" xfId="0" applyBorder="1" applyAlignment="1">
      <alignment horizontal="right"/>
    </xf>
    <xf numFmtId="0" fontId="0" fillId="0" borderId="42" xfId="0" applyBorder="1" applyAlignment="1">
      <alignment horizontal="center"/>
    </xf>
    <xf numFmtId="164" fontId="3" fillId="0" borderId="0" xfId="8" applyNumberFormat="1"/>
    <xf numFmtId="10" fontId="0" fillId="4" borderId="56" xfId="0" applyNumberFormat="1" applyFill="1" applyBorder="1" applyAlignment="1" applyProtection="1">
      <alignment horizontal="center"/>
      <protection locked="0"/>
    </xf>
    <xf numFmtId="10" fontId="0" fillId="4" borderId="61" xfId="0" applyNumberFormat="1" applyFill="1" applyBorder="1" applyAlignment="1" applyProtection="1">
      <alignment horizontal="center"/>
      <protection locked="0"/>
    </xf>
    <xf numFmtId="10" fontId="0" fillId="4" borderId="66" xfId="0" applyNumberFormat="1" applyFill="1" applyBorder="1" applyAlignment="1" applyProtection="1">
      <alignment horizontal="center"/>
      <protection locked="0"/>
    </xf>
    <xf numFmtId="164" fontId="0" fillId="0" borderId="10" xfId="0" applyNumberFormat="1" applyBorder="1" applyAlignment="1"/>
    <xf numFmtId="164" fontId="0" fillId="0" borderId="11" xfId="0" applyNumberFormat="1" applyBorder="1" applyAlignment="1"/>
    <xf numFmtId="164" fontId="0" fillId="0" borderId="12" xfId="0" applyNumberFormat="1" applyBorder="1" applyAlignment="1"/>
    <xf numFmtId="164" fontId="0" fillId="0" borderId="76" xfId="0" applyNumberFormat="1" applyBorder="1" applyAlignment="1"/>
    <xf numFmtId="164" fontId="0" fillId="0" borderId="77" xfId="0" applyNumberFormat="1" applyBorder="1" applyAlignment="1"/>
    <xf numFmtId="164" fontId="0" fillId="0" borderId="82" xfId="0" applyNumberFormat="1" applyBorder="1" applyAlignment="1"/>
    <xf numFmtId="0" fontId="0" fillId="0" borderId="78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82" xfId="0" applyBorder="1" applyAlignment="1">
      <alignment horizontal="center"/>
    </xf>
    <xf numFmtId="167" fontId="0" fillId="0" borderId="0" xfId="0" applyNumberFormat="1" applyAlignment="1"/>
    <xf numFmtId="0" fontId="3" fillId="0" borderId="0" xfId="0" applyFont="1" applyAlignment="1">
      <alignment horizontal="left" inden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/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2" borderId="37" xfId="0" applyFill="1" applyBorder="1" applyAlignment="1">
      <alignment horizontal="center" vertical="center" wrapText="1"/>
    </xf>
    <xf numFmtId="0" fontId="0" fillId="2" borderId="38" xfId="0" applyFill="1" applyBorder="1" applyAlignment="1">
      <alignment horizontal="center" vertical="center" wrapText="1"/>
    </xf>
    <xf numFmtId="0" fontId="0" fillId="2" borderId="39" xfId="0" applyFill="1" applyBorder="1" applyAlignment="1">
      <alignment horizontal="center" vertical="center" wrapText="1"/>
    </xf>
    <xf numFmtId="0" fontId="4" fillId="3" borderId="19" xfId="0" applyFont="1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center"/>
      <protection locked="0"/>
    </xf>
    <xf numFmtId="0" fontId="0" fillId="3" borderId="18" xfId="0" applyFill="1" applyBorder="1" applyAlignment="1" applyProtection="1">
      <alignment horizontal="center"/>
      <protection locked="0"/>
    </xf>
    <xf numFmtId="0" fontId="3" fillId="0" borderId="37" xfId="0" applyFont="1" applyBorder="1" applyAlignment="1">
      <alignment horizontal="center" vertical="center" wrapText="1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4" fillId="0" borderId="0" xfId="0" applyFont="1" applyAlignment="1"/>
    <xf numFmtId="0" fontId="0" fillId="0" borderId="35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44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73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4" xfId="0" applyBorder="1" applyAlignment="1">
      <alignment horizontal="center"/>
    </xf>
    <xf numFmtId="0" fontId="3" fillId="0" borderId="50" xfId="0" applyFont="1" applyBorder="1" applyAlignment="1">
      <alignment horizontal="left" vertical="center" wrapText="1"/>
    </xf>
    <xf numFmtId="0" fontId="0" fillId="0" borderId="51" xfId="0" applyBorder="1" applyAlignment="1">
      <alignment horizontal="left" vertical="center" wrapText="1"/>
    </xf>
    <xf numFmtId="0" fontId="0" fillId="0" borderId="52" xfId="0" applyBorder="1" applyAlignment="1">
      <alignment horizontal="left" vertical="center" wrapText="1"/>
    </xf>
    <xf numFmtId="0" fontId="3" fillId="0" borderId="71" xfId="0" applyFont="1" applyBorder="1" applyAlignment="1">
      <alignment horizontal="left" vertical="center" wrapText="1"/>
    </xf>
    <xf numFmtId="0" fontId="0" fillId="0" borderId="72" xfId="0" applyBorder="1" applyAlignment="1">
      <alignment horizontal="left" vertical="center" wrapText="1"/>
    </xf>
    <xf numFmtId="0" fontId="3" fillId="0" borderId="73" xfId="0" applyFont="1" applyBorder="1" applyAlignment="1">
      <alignment horizontal="center"/>
    </xf>
    <xf numFmtId="0" fontId="3" fillId="0" borderId="74" xfId="0" applyFont="1" applyBorder="1" applyAlignment="1">
      <alignment horizontal="center"/>
    </xf>
    <xf numFmtId="0" fontId="3" fillId="0" borderId="55" xfId="0" applyFont="1" applyBorder="1" applyAlignment="1">
      <alignment horizontal="center"/>
    </xf>
    <xf numFmtId="0" fontId="3" fillId="0" borderId="75" xfId="0" applyFont="1" applyBorder="1" applyAlignment="1">
      <alignment horizontal="center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Normal 2" xfId="8" xr:uid="{00000000-0005-0000-0000-000007000000}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8"/>
  <sheetViews>
    <sheetView tabSelected="1" workbookViewId="0">
      <selection activeCell="K15" sqref="K15"/>
    </sheetView>
  </sheetViews>
  <sheetFormatPr defaultColWidth="8.81640625" defaultRowHeight="12.5" x14ac:dyDescent="0.25"/>
  <cols>
    <col min="1" max="1" width="9" customWidth="1"/>
    <col min="2" max="2" width="7.7265625" customWidth="1"/>
    <col min="3" max="13" width="8.7265625" customWidth="1"/>
    <col min="14" max="14" width="8.453125" customWidth="1"/>
    <col min="15" max="20" width="7.7265625" customWidth="1"/>
  </cols>
  <sheetData>
    <row r="1" spans="1:20" ht="13" x14ac:dyDescent="0.3">
      <c r="A1" s="125" t="s">
        <v>0</v>
      </c>
      <c r="B1" s="125"/>
      <c r="C1" s="125"/>
      <c r="E1" s="53" t="s">
        <v>1</v>
      </c>
      <c r="F1" s="119"/>
      <c r="G1" s="120"/>
      <c r="H1" s="121"/>
    </row>
    <row r="2" spans="1:20" ht="13" x14ac:dyDescent="0.3">
      <c r="A2" s="107" t="s">
        <v>2</v>
      </c>
      <c r="B2" s="53"/>
      <c r="C2" s="54"/>
      <c r="D2" s="54"/>
      <c r="E2" s="54"/>
    </row>
    <row r="3" spans="1:20" x14ac:dyDescent="0.25">
      <c r="A3" s="55" t="s">
        <v>3</v>
      </c>
      <c r="B3" s="56"/>
      <c r="C3" s="57"/>
      <c r="D3" s="56"/>
      <c r="E3" s="58"/>
    </row>
    <row r="4" spans="1:20" ht="13" thickBot="1" x14ac:dyDescent="0.3">
      <c r="A4" s="47" t="s">
        <v>4</v>
      </c>
      <c r="B4" s="48"/>
      <c r="C4" s="49"/>
      <c r="D4" s="47"/>
      <c r="E4" s="49"/>
    </row>
    <row r="5" spans="1:20" ht="26.25" customHeight="1" x14ac:dyDescent="0.25">
      <c r="A5" s="126" t="s">
        <v>5</v>
      </c>
      <c r="B5" s="110" t="s">
        <v>6</v>
      </c>
      <c r="C5" s="130" t="s">
        <v>7</v>
      </c>
      <c r="D5" s="131"/>
      <c r="E5" s="131"/>
      <c r="F5" s="130" t="s">
        <v>8</v>
      </c>
      <c r="G5" s="131"/>
      <c r="H5" s="131"/>
      <c r="I5" s="113" t="s">
        <v>9</v>
      </c>
      <c r="J5" s="114"/>
      <c r="K5" s="114"/>
      <c r="L5" s="115"/>
      <c r="M5" s="122" t="s">
        <v>10</v>
      </c>
      <c r="N5" s="116" t="s">
        <v>11</v>
      </c>
      <c r="O5" s="113" t="s">
        <v>12</v>
      </c>
      <c r="P5" s="114"/>
      <c r="Q5" s="114"/>
      <c r="R5" s="114"/>
      <c r="S5" s="114"/>
      <c r="T5" s="115"/>
    </row>
    <row r="6" spans="1:20" x14ac:dyDescent="0.25">
      <c r="A6" s="127"/>
      <c r="B6" s="111"/>
      <c r="C6" s="3" t="s">
        <v>13</v>
      </c>
      <c r="D6" s="4" t="s">
        <v>14</v>
      </c>
      <c r="E6" s="51" t="s">
        <v>15</v>
      </c>
      <c r="F6" s="3" t="s">
        <v>16</v>
      </c>
      <c r="G6" s="4" t="s">
        <v>17</v>
      </c>
      <c r="H6" s="51" t="s">
        <v>15</v>
      </c>
      <c r="I6" s="3" t="s">
        <v>16</v>
      </c>
      <c r="J6" s="4" t="s">
        <v>17</v>
      </c>
      <c r="K6" s="51" t="s">
        <v>15</v>
      </c>
      <c r="L6" s="5" t="s">
        <v>18</v>
      </c>
      <c r="M6" s="123"/>
      <c r="N6" s="117"/>
      <c r="O6" s="129" t="s">
        <v>16</v>
      </c>
      <c r="P6" s="108"/>
      <c r="Q6" s="108" t="s">
        <v>17</v>
      </c>
      <c r="R6" s="108"/>
      <c r="S6" s="108" t="s">
        <v>15</v>
      </c>
      <c r="T6" s="109"/>
    </row>
    <row r="7" spans="1:20" ht="13" thickBot="1" x14ac:dyDescent="0.3">
      <c r="A7" s="128"/>
      <c r="B7" s="112"/>
      <c r="C7" s="6" t="s">
        <v>19</v>
      </c>
      <c r="D7" s="7" t="s">
        <v>19</v>
      </c>
      <c r="E7" s="52" t="s">
        <v>19</v>
      </c>
      <c r="F7" s="6" t="s">
        <v>19</v>
      </c>
      <c r="G7" s="7" t="s">
        <v>19</v>
      </c>
      <c r="H7" s="52" t="s">
        <v>19</v>
      </c>
      <c r="I7" s="6" t="s">
        <v>19</v>
      </c>
      <c r="J7" s="7" t="s">
        <v>19</v>
      </c>
      <c r="K7" s="52" t="s">
        <v>19</v>
      </c>
      <c r="L7" s="8" t="s">
        <v>19</v>
      </c>
      <c r="M7" s="124"/>
      <c r="N7" s="118"/>
      <c r="O7" s="14" t="s">
        <v>20</v>
      </c>
      <c r="P7" s="15" t="s">
        <v>21</v>
      </c>
      <c r="Q7" s="15" t="s">
        <v>20</v>
      </c>
      <c r="R7" s="15" t="s">
        <v>21</v>
      </c>
      <c r="S7" s="15" t="s">
        <v>20</v>
      </c>
      <c r="T7" s="16" t="s">
        <v>21</v>
      </c>
    </row>
    <row r="8" spans="1:20" x14ac:dyDescent="0.25">
      <c r="A8" s="1" t="s">
        <v>22</v>
      </c>
      <c r="B8" s="59"/>
      <c r="C8" s="60"/>
      <c r="D8" s="61"/>
      <c r="E8" s="62"/>
      <c r="F8" s="60"/>
      <c r="G8" s="61"/>
      <c r="H8" s="62"/>
      <c r="I8" s="60"/>
      <c r="J8" s="61"/>
      <c r="K8" s="62"/>
      <c r="L8" s="63"/>
      <c r="M8" s="92"/>
      <c r="N8" s="40" t="e">
        <f>IF((ABS(Results!B8-Worksheet!AC4)/Results!B8&lt;0.005),"PASS","FAIL")</f>
        <v>#DIV/0!</v>
      </c>
      <c r="O8" s="9" t="s">
        <v>23</v>
      </c>
      <c r="P8" s="43">
        <v>6.8</v>
      </c>
      <c r="Q8" s="10" t="s">
        <v>23</v>
      </c>
      <c r="R8" s="43">
        <v>10</v>
      </c>
      <c r="S8" s="10" t="s">
        <v>23</v>
      </c>
      <c r="T8" s="11">
        <v>0.88</v>
      </c>
    </row>
    <row r="9" spans="1:20" x14ac:dyDescent="0.25">
      <c r="A9" s="1" t="s">
        <v>24</v>
      </c>
      <c r="B9" s="64"/>
      <c r="C9" s="65"/>
      <c r="D9" s="66"/>
      <c r="E9" s="67"/>
      <c r="F9" s="65"/>
      <c r="G9" s="66"/>
      <c r="H9" s="67"/>
      <c r="I9" s="65"/>
      <c r="J9" s="66"/>
      <c r="K9" s="67"/>
      <c r="L9" s="68"/>
      <c r="M9" s="93"/>
      <c r="N9" s="41" t="e">
        <f>IF((ABS(Results!B9-Worksheet!AC5)/Results!B9&lt;0.005),"PASS","FAIL")</f>
        <v>#DIV/0!</v>
      </c>
      <c r="O9" s="9" t="s">
        <v>23</v>
      </c>
      <c r="P9" s="43">
        <v>6.8</v>
      </c>
      <c r="Q9" s="10" t="s">
        <v>23</v>
      </c>
      <c r="R9" s="43">
        <v>10</v>
      </c>
      <c r="S9" s="10" t="s">
        <v>25</v>
      </c>
      <c r="T9" s="11">
        <v>0.82</v>
      </c>
    </row>
    <row r="10" spans="1:20" x14ac:dyDescent="0.25">
      <c r="A10" s="1" t="s">
        <v>26</v>
      </c>
      <c r="B10" s="64"/>
      <c r="C10" s="65"/>
      <c r="D10" s="66"/>
      <c r="E10" s="67"/>
      <c r="F10" s="65"/>
      <c r="G10" s="66"/>
      <c r="H10" s="67"/>
      <c r="I10" s="65"/>
      <c r="J10" s="66"/>
      <c r="K10" s="67"/>
      <c r="L10" s="68"/>
      <c r="M10" s="93"/>
      <c r="N10" s="41" t="e">
        <f>IF((ABS(Results!B10-Worksheet!AC6)/Results!B10&lt;0.005),"PASS","FAIL")</f>
        <v>#DIV/0!</v>
      </c>
      <c r="O10" s="9" t="s">
        <v>25</v>
      </c>
      <c r="P10" s="12">
        <v>0.78</v>
      </c>
      <c r="Q10" s="10" t="s">
        <v>23</v>
      </c>
      <c r="R10" s="43">
        <v>10</v>
      </c>
      <c r="S10" s="10" t="s">
        <v>23</v>
      </c>
      <c r="T10" s="11">
        <v>0.88</v>
      </c>
    </row>
    <row r="11" spans="1:20" x14ac:dyDescent="0.25">
      <c r="A11" s="1" t="s">
        <v>27</v>
      </c>
      <c r="B11" s="64"/>
      <c r="C11" s="65"/>
      <c r="D11" s="66"/>
      <c r="E11" s="67"/>
      <c r="F11" s="65"/>
      <c r="G11" s="66"/>
      <c r="H11" s="67"/>
      <c r="I11" s="65"/>
      <c r="J11" s="66"/>
      <c r="K11" s="67"/>
      <c r="L11" s="68"/>
      <c r="M11" s="93"/>
      <c r="N11" s="41" t="e">
        <f>IF((ABS(Results!B11-Worksheet!AC7)/Results!B11&lt;0.005),"PASS","FAIL")</f>
        <v>#DIV/0!</v>
      </c>
      <c r="O11" s="9" t="s">
        <v>23</v>
      </c>
      <c r="P11" s="10">
        <v>9.85</v>
      </c>
      <c r="Q11" s="10" t="s">
        <v>23</v>
      </c>
      <c r="R11" s="43">
        <v>10</v>
      </c>
      <c r="S11" s="10" t="s">
        <v>23</v>
      </c>
      <c r="T11" s="11">
        <v>0.88</v>
      </c>
    </row>
    <row r="12" spans="1:20" ht="13" thickBot="1" x14ac:dyDescent="0.3">
      <c r="A12" s="2" t="s">
        <v>28</v>
      </c>
      <c r="B12" s="69"/>
      <c r="C12" s="70"/>
      <c r="D12" s="71"/>
      <c r="E12" s="72"/>
      <c r="F12" s="70"/>
      <c r="G12" s="71"/>
      <c r="H12" s="72"/>
      <c r="I12" s="70"/>
      <c r="J12" s="71"/>
      <c r="K12" s="72"/>
      <c r="L12" s="73"/>
      <c r="M12" s="94"/>
      <c r="N12" s="42" t="e">
        <f>IF((ABS(Results!B12-Worksheet!AC8)/Results!B12&lt;0.005),"PASS","FAIL")</f>
        <v>#DIV/0!</v>
      </c>
      <c r="O12" s="6" t="s">
        <v>25</v>
      </c>
      <c r="P12" s="13">
        <v>0.96</v>
      </c>
      <c r="Q12" s="7" t="s">
        <v>23</v>
      </c>
      <c r="R12" s="44">
        <v>10</v>
      </c>
      <c r="S12" s="7" t="s">
        <v>23</v>
      </c>
      <c r="T12" s="8">
        <v>0.88</v>
      </c>
    </row>
    <row r="13" spans="1:20" x14ac:dyDescent="0.25">
      <c r="A13" s="88"/>
      <c r="B13" s="89"/>
      <c r="C13" s="90"/>
      <c r="D13" s="90"/>
      <c r="E13" s="90"/>
    </row>
    <row r="17" spans="3:3" x14ac:dyDescent="0.25">
      <c r="C17" s="45"/>
    </row>
    <row r="18" spans="3:3" x14ac:dyDescent="0.25">
      <c r="C18" s="46"/>
    </row>
  </sheetData>
  <sheetProtection algorithmName="SHA-512" hashValue="1F8JXJYFBVWxSJ07cdId72qQkxR5as8WW3ifAnnLH407VKBWpHL6dWhlAVcRDFk0X5+2JF+6fHr8lhMlvH+ZoA==" saltValue="gnjtr3YqISwaw3jQ4Wi2gQ==" spinCount="100000" sheet="1" objects="1" scenarios="1"/>
  <mergeCells count="13">
    <mergeCell ref="S6:T6"/>
    <mergeCell ref="B5:B7"/>
    <mergeCell ref="O5:T5"/>
    <mergeCell ref="N5:N7"/>
    <mergeCell ref="F1:H1"/>
    <mergeCell ref="M5:M7"/>
    <mergeCell ref="A1:C1"/>
    <mergeCell ref="A5:A7"/>
    <mergeCell ref="O6:P6"/>
    <mergeCell ref="Q6:R6"/>
    <mergeCell ref="C5:E5"/>
    <mergeCell ref="F5:H5"/>
    <mergeCell ref="I5:L5"/>
  </mergeCells>
  <phoneticPr fontId="0" type="noConversion"/>
  <pageMargins left="0.75" right="0.75" top="1" bottom="1" header="0.5" footer="0.5"/>
  <pageSetup scale="7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19"/>
  <sheetViews>
    <sheetView zoomScaleNormal="100" workbookViewId="0">
      <selection sqref="A1:A3"/>
    </sheetView>
  </sheetViews>
  <sheetFormatPr defaultColWidth="8.81640625" defaultRowHeight="12.5" x14ac:dyDescent="0.25"/>
  <cols>
    <col min="1" max="1" width="6.7265625" customWidth="1"/>
    <col min="6" max="6" width="9.26953125" customWidth="1"/>
    <col min="31" max="31" width="8.7265625" customWidth="1"/>
  </cols>
  <sheetData>
    <row r="1" spans="1:31" ht="13" thickTop="1" x14ac:dyDescent="0.25">
      <c r="A1" s="153" t="s">
        <v>5</v>
      </c>
      <c r="B1" s="22" t="s">
        <v>29</v>
      </c>
      <c r="C1" s="23"/>
      <c r="D1" s="23"/>
      <c r="E1" s="23"/>
      <c r="F1" s="23"/>
      <c r="G1" s="23"/>
      <c r="H1" s="22" t="s">
        <v>30</v>
      </c>
      <c r="I1" s="23"/>
      <c r="J1" s="23"/>
      <c r="K1" s="22" t="s">
        <v>31</v>
      </c>
      <c r="L1" s="23"/>
      <c r="M1" s="34"/>
      <c r="N1" s="23" t="s">
        <v>32</v>
      </c>
      <c r="O1" s="23"/>
      <c r="P1" s="23"/>
      <c r="Q1" s="22" t="s">
        <v>33</v>
      </c>
      <c r="R1" s="23"/>
      <c r="S1" s="23"/>
      <c r="T1" s="139" t="s">
        <v>34</v>
      </c>
      <c r="U1" s="152"/>
      <c r="V1" s="152"/>
      <c r="W1" s="143" t="s">
        <v>35</v>
      </c>
      <c r="X1" s="144"/>
      <c r="Y1" s="144"/>
      <c r="Z1" s="145"/>
      <c r="AA1" s="139" t="s">
        <v>36</v>
      </c>
      <c r="AB1" s="140"/>
      <c r="AC1" s="132" t="s">
        <v>37</v>
      </c>
    </row>
    <row r="2" spans="1:31" x14ac:dyDescent="0.25">
      <c r="A2" s="154"/>
      <c r="B2" s="20" t="s">
        <v>16</v>
      </c>
      <c r="C2" s="21"/>
      <c r="D2" s="20" t="s">
        <v>17</v>
      </c>
      <c r="E2" s="19"/>
      <c r="F2" s="21" t="s">
        <v>15</v>
      </c>
      <c r="G2" s="21"/>
      <c r="H2" s="135" t="s">
        <v>16</v>
      </c>
      <c r="I2" s="137" t="s">
        <v>38</v>
      </c>
      <c r="J2" s="137" t="s">
        <v>15</v>
      </c>
      <c r="K2" s="135" t="s">
        <v>16</v>
      </c>
      <c r="L2" s="137" t="s">
        <v>38</v>
      </c>
      <c r="M2" s="141" t="s">
        <v>15</v>
      </c>
      <c r="N2" s="137" t="s">
        <v>16</v>
      </c>
      <c r="O2" s="137" t="s">
        <v>38</v>
      </c>
      <c r="P2" s="137" t="s">
        <v>15</v>
      </c>
      <c r="Q2" s="135" t="s">
        <v>16</v>
      </c>
      <c r="R2" s="137" t="s">
        <v>38</v>
      </c>
      <c r="S2" s="137" t="s">
        <v>15</v>
      </c>
      <c r="T2" s="135" t="s">
        <v>16</v>
      </c>
      <c r="U2" s="137" t="s">
        <v>38</v>
      </c>
      <c r="V2" s="137" t="s">
        <v>15</v>
      </c>
      <c r="W2" s="146" t="s">
        <v>39</v>
      </c>
      <c r="X2" s="148" t="s">
        <v>40</v>
      </c>
      <c r="Y2" s="148" t="s">
        <v>41</v>
      </c>
      <c r="Z2" s="150" t="s">
        <v>42</v>
      </c>
      <c r="AA2" s="135" t="s">
        <v>43</v>
      </c>
      <c r="AB2" s="141" t="s">
        <v>44</v>
      </c>
      <c r="AC2" s="133"/>
    </row>
    <row r="3" spans="1:31" ht="13" thickBot="1" x14ac:dyDescent="0.3">
      <c r="A3" s="155"/>
      <c r="B3" s="17" t="s">
        <v>45</v>
      </c>
      <c r="C3" s="18" t="s">
        <v>46</v>
      </c>
      <c r="D3" s="17" t="s">
        <v>45</v>
      </c>
      <c r="E3" s="39" t="s">
        <v>46</v>
      </c>
      <c r="F3" s="18" t="s">
        <v>45</v>
      </c>
      <c r="G3" s="18" t="s">
        <v>46</v>
      </c>
      <c r="H3" s="136"/>
      <c r="I3" s="138"/>
      <c r="J3" s="138"/>
      <c r="K3" s="136"/>
      <c r="L3" s="138"/>
      <c r="M3" s="142"/>
      <c r="N3" s="138"/>
      <c r="O3" s="138"/>
      <c r="P3" s="138"/>
      <c r="Q3" s="136"/>
      <c r="R3" s="138"/>
      <c r="S3" s="138"/>
      <c r="T3" s="136"/>
      <c r="U3" s="138"/>
      <c r="V3" s="138"/>
      <c r="W3" s="147"/>
      <c r="X3" s="149"/>
      <c r="Y3" s="149"/>
      <c r="Z3" s="151"/>
      <c r="AA3" s="136"/>
      <c r="AB3" s="142"/>
      <c r="AC3" s="134"/>
    </row>
    <row r="4" spans="1:31" x14ac:dyDescent="0.25">
      <c r="A4" s="24">
        <v>1</v>
      </c>
      <c r="B4" s="38">
        <f>IF(Results!O8="gas",1.0943,2.2561)</f>
        <v>2.2561</v>
      </c>
      <c r="C4" s="31">
        <f>IF(Results!O8="gas",0.403,0)</f>
        <v>0</v>
      </c>
      <c r="D4" s="30">
        <v>3.8090000000000002</v>
      </c>
      <c r="E4" s="27">
        <v>0</v>
      </c>
      <c r="F4" s="31">
        <f>IF(Results!S8="gas",1.1877,0.92)</f>
        <v>0.92</v>
      </c>
      <c r="G4" s="31">
        <f>IF(Results!S8="gas",1.013,0)</f>
        <v>0</v>
      </c>
      <c r="H4" s="26" t="e">
        <f>Results!C8/Results!F8*Worksheet!N4</f>
        <v>#DIV/0!</v>
      </c>
      <c r="I4" s="31" t="e">
        <f>Results!D8/Results!G8*Worksheet!O4</f>
        <v>#DIV/0!</v>
      </c>
      <c r="J4" s="31" t="e">
        <f>Results!E8/Results!H8*Worksheet!P4</f>
        <v>#DIV/0!</v>
      </c>
      <c r="K4" s="26">
        <f>IF(Results!O8="gas",1/Results!P8,3.413/Results!P8)</f>
        <v>0.50191176470588239</v>
      </c>
      <c r="L4" s="31">
        <f>3.413/Results!R8</f>
        <v>0.34129999999999999</v>
      </c>
      <c r="M4" s="35">
        <f>1/Results!T8</f>
        <v>1.1363636363636365</v>
      </c>
      <c r="N4" s="31">
        <f>IF(+Results!O8="gas",1/0.78,3.413/7.7)</f>
        <v>0.44324675324675322</v>
      </c>
      <c r="O4" s="31">
        <f>3.413/13</f>
        <v>0.2625384615384615</v>
      </c>
      <c r="P4" s="31">
        <f>IF(+Results!S8="gas",1/0.59,1/0.92)</f>
        <v>1.0869565217391304</v>
      </c>
      <c r="Q4" s="26" t="e">
        <f>(B4*K4-C4)*(Results!I8*Results!F8*Worksheet!H4)/(Worksheet!K4*Results!C8)</f>
        <v>#DIV/0!</v>
      </c>
      <c r="R4" s="31" t="e">
        <f>(D4*L4-E4)*(Results!J8*Results!G8*Worksheet!I4)/(Worksheet!L4*Results!D8)</f>
        <v>#DIV/0!</v>
      </c>
      <c r="S4" s="31" t="e">
        <f>(F4*M4-G4)*(Results!K8*Results!H8*Worksheet!J4)/(Worksheet!M4*Results!E8)</f>
        <v>#DIV/0!</v>
      </c>
      <c r="T4" s="26" t="e">
        <f>Results!C8*(Worksheet!Q4/Results!F8)</f>
        <v>#DIV/0!</v>
      </c>
      <c r="U4" s="31" t="e">
        <f>Results!D8*(Worksheet!R4/Results!G8)</f>
        <v>#DIV/0!</v>
      </c>
      <c r="V4" s="31" t="e">
        <f>Results!E8*(Worksheet!S4/Results!H8)</f>
        <v>#DIV/0!</v>
      </c>
      <c r="W4" s="95">
        <f>((2400/B13)^(0.304*Results!M8))</f>
        <v>1</v>
      </c>
      <c r="X4" s="96">
        <f>(1+(0.069*Results!M8*(C13-3)))</f>
        <v>1</v>
      </c>
      <c r="Y4" s="96">
        <f>((2/D13)^(0.12*Results!M8))</f>
        <v>1</v>
      </c>
      <c r="Z4" s="97">
        <f>W4*X4*Y4</f>
        <v>1</v>
      </c>
      <c r="AA4" s="26" t="e">
        <f>SUM(T4:V4)+Results!L8</f>
        <v>#DIV/0!</v>
      </c>
      <c r="AB4" s="35">
        <f>(SUM(Results!C8:E8)+N13)*Z4</f>
        <v>20.446109215017067</v>
      </c>
      <c r="AC4" s="37" t="e">
        <f>100*AA4/AB4</f>
        <v>#DIV/0!</v>
      </c>
      <c r="AD4" s="31"/>
      <c r="AE4" s="106"/>
    </row>
    <row r="5" spans="1:31" x14ac:dyDescent="0.25">
      <c r="A5" s="24">
        <v>2</v>
      </c>
      <c r="B5" s="26">
        <f>IF(Results!O9="gas",1.0943,2.2561)</f>
        <v>2.2561</v>
      </c>
      <c r="C5" s="31">
        <f>IF(Results!O9="gas",0.403,0)</f>
        <v>0</v>
      </c>
      <c r="D5" s="30">
        <v>3.8090000000000002</v>
      </c>
      <c r="E5" s="27">
        <v>0</v>
      </c>
      <c r="F5" s="31">
        <f>IF(Results!S9="gas",1.1877,0.92)</f>
        <v>1.1877</v>
      </c>
      <c r="G5" s="31">
        <f>IF(Results!S9="gas",1.013,0)</f>
        <v>1.0129999999999999</v>
      </c>
      <c r="H5" s="26" t="e">
        <f>Results!C9/Results!F9*Worksheet!N5</f>
        <v>#DIV/0!</v>
      </c>
      <c r="I5" s="31" t="e">
        <f>Results!D9/Results!G9*Worksheet!O5</f>
        <v>#DIV/0!</v>
      </c>
      <c r="J5" s="31" t="e">
        <f>Results!E9/Results!H9*Worksheet!P5</f>
        <v>#DIV/0!</v>
      </c>
      <c r="K5" s="26">
        <f>IF(Results!O9="gas",1/Results!P9,3.413/Results!P9)</f>
        <v>0.50191176470588239</v>
      </c>
      <c r="L5" s="31">
        <f>3.413/Results!R9</f>
        <v>0.34129999999999999</v>
      </c>
      <c r="M5" s="35">
        <f>1/(Results!T9*0.92)</f>
        <v>1.3255567338282079</v>
      </c>
      <c r="N5" s="31">
        <f>IF(+Results!O9="gas",1/0.78,3.413/7.7)</f>
        <v>0.44324675324675322</v>
      </c>
      <c r="O5" s="31">
        <f>3.413/13</f>
        <v>0.2625384615384615</v>
      </c>
      <c r="P5" s="31">
        <f>IF(+Results!S9="gas",1/0.59,1/0.92)</f>
        <v>1.6949152542372883</v>
      </c>
      <c r="Q5" s="26" t="e">
        <f>(B5*K5-C5)*(Results!I9*Results!F9*Worksheet!H5)/(Worksheet!K5*Results!C9)</f>
        <v>#DIV/0!</v>
      </c>
      <c r="R5" s="31" t="e">
        <f>(D5*L5-E5)*(Results!J9*Results!G9*Worksheet!I5)/(Worksheet!L5*Results!D9)</f>
        <v>#DIV/0!</v>
      </c>
      <c r="S5" s="31" t="e">
        <f>(F5*M5-G5)*(Results!K9*Results!H9*Worksheet!J5)/(Worksheet!M5*Results!E9)</f>
        <v>#DIV/0!</v>
      </c>
      <c r="T5" s="26" t="e">
        <f>Results!C9*(Worksheet!Q5/Results!F9)</f>
        <v>#DIV/0!</v>
      </c>
      <c r="U5" s="31" t="e">
        <f>Results!D9*(Worksheet!R5/Results!G9)</f>
        <v>#DIV/0!</v>
      </c>
      <c r="V5" s="31" t="e">
        <f>Results!E9*(Worksheet!S5/Results!H9)</f>
        <v>#DIV/0!</v>
      </c>
      <c r="W5" s="95">
        <f>((2400/B14)^(0.304*Results!M9))</f>
        <v>1</v>
      </c>
      <c r="X5" s="96">
        <f>(1+(0.069*Results!M9*(C14-3)))</f>
        <v>1</v>
      </c>
      <c r="Y5" s="96">
        <f>((2/D14)^(0.12*Results!M9))</f>
        <v>1</v>
      </c>
      <c r="Z5" s="97">
        <f t="shared" ref="Z5:Z8" si="0">W5*X5*Y5</f>
        <v>1</v>
      </c>
      <c r="AA5" s="26" t="e">
        <f>SUM(T5:V5)+Results!L9</f>
        <v>#DIV/0!</v>
      </c>
      <c r="AB5" s="35">
        <f>(SUM(Results!C9:E9)+N14)*Z5</f>
        <v>22.420460750853245</v>
      </c>
      <c r="AC5" s="37" t="e">
        <f>100*AA5/AB5</f>
        <v>#DIV/0!</v>
      </c>
      <c r="AD5" s="31"/>
      <c r="AE5" s="106"/>
    </row>
    <row r="6" spans="1:31" x14ac:dyDescent="0.25">
      <c r="A6" s="24">
        <v>3</v>
      </c>
      <c r="B6" s="26">
        <f>IF(Results!O10="gas",1.0943,2.2561)</f>
        <v>1.0943000000000001</v>
      </c>
      <c r="C6" s="31">
        <f>IF(Results!O10="gas",0.403,0)</f>
        <v>0.40300000000000002</v>
      </c>
      <c r="D6" s="30">
        <v>3.8090000000000002</v>
      </c>
      <c r="E6" s="27">
        <v>0</v>
      </c>
      <c r="F6" s="31">
        <f>IF(Results!S10="gas",1.1877,0.92)</f>
        <v>0.92</v>
      </c>
      <c r="G6" s="31">
        <f>IF(Results!S10="gas",1.013,0)</f>
        <v>0</v>
      </c>
      <c r="H6" s="26" t="e">
        <f>Results!C10/Results!F10*Worksheet!N6</f>
        <v>#DIV/0!</v>
      </c>
      <c r="I6" s="31" t="e">
        <f>Results!D10/Results!G10*Worksheet!O6</f>
        <v>#DIV/0!</v>
      </c>
      <c r="J6" s="31" t="e">
        <f>Results!E10/Results!H10*Worksheet!P6</f>
        <v>#DIV/0!</v>
      </c>
      <c r="K6" s="26">
        <f>IF(Results!O10="gas",1/Results!P10,3.413/Results!P10)</f>
        <v>1.2820512820512819</v>
      </c>
      <c r="L6" s="31">
        <f>3.413/Results!R10</f>
        <v>0.34129999999999999</v>
      </c>
      <c r="M6" s="35">
        <f>1/Results!T10</f>
        <v>1.1363636363636365</v>
      </c>
      <c r="N6" s="31">
        <f>IF(+Results!O10="gas",1/0.78,3.413/7.7)</f>
        <v>1.2820512820512819</v>
      </c>
      <c r="O6" s="31">
        <f>3.413/13</f>
        <v>0.2625384615384615</v>
      </c>
      <c r="P6" s="31">
        <f>IF(+Results!S10="gas",1/0.59,1/0.92)</f>
        <v>1.0869565217391304</v>
      </c>
      <c r="Q6" s="26" t="e">
        <f>(B6*K6-C6)*(Results!I10*Results!F10*Worksheet!H6)/(Worksheet!K6*Results!C10)</f>
        <v>#DIV/0!</v>
      </c>
      <c r="R6" s="31" t="e">
        <f>(D6*L6-E6)*(Results!J10*Results!G10*Worksheet!I6)/(Worksheet!L6*Results!D10)</f>
        <v>#DIV/0!</v>
      </c>
      <c r="S6" s="31" t="e">
        <f>(F6*M6-G6)*(Results!K10*Results!H10*Worksheet!J6)/(Worksheet!M6*Results!E10)</f>
        <v>#DIV/0!</v>
      </c>
      <c r="T6" s="26" t="e">
        <f>Results!C10*(Worksheet!Q6/Results!F10)</f>
        <v>#DIV/0!</v>
      </c>
      <c r="U6" s="31" t="e">
        <f>Results!D10*(Worksheet!R6/Results!G10)</f>
        <v>#DIV/0!</v>
      </c>
      <c r="V6" s="31" t="e">
        <f>Results!E10*(Worksheet!S6/Results!H10)</f>
        <v>#DIV/0!</v>
      </c>
      <c r="W6" s="95">
        <f>((2400/B15)^(0.304*Results!M10))</f>
        <v>1</v>
      </c>
      <c r="X6" s="96">
        <f>(1+(0.069*Results!M10*(C15-3)))</f>
        <v>1</v>
      </c>
      <c r="Y6" s="96">
        <f>((2/D15)^(0.12*Results!M10))</f>
        <v>1</v>
      </c>
      <c r="Z6" s="97">
        <f t="shared" si="0"/>
        <v>1</v>
      </c>
      <c r="AA6" s="26" t="e">
        <f>SUM(T6:V6)+Results!L10</f>
        <v>#DIV/0!</v>
      </c>
      <c r="AB6" s="35">
        <f>(SUM(Results!C10:E10)+N15)*Z6</f>
        <v>21.275119453924916</v>
      </c>
      <c r="AC6" s="37" t="e">
        <f>100*AA6/AB6</f>
        <v>#DIV/0!</v>
      </c>
      <c r="AD6" s="31"/>
      <c r="AE6" s="106"/>
    </row>
    <row r="7" spans="1:31" x14ac:dyDescent="0.25">
      <c r="A7" s="24">
        <v>4</v>
      </c>
      <c r="B7" s="26">
        <f>IF(Results!O11="gas",1.0943,2.2561)</f>
        <v>2.2561</v>
      </c>
      <c r="C7" s="31">
        <f>IF(Results!O11="gas",0.403,0)</f>
        <v>0</v>
      </c>
      <c r="D7" s="30">
        <v>3.8090000000000002</v>
      </c>
      <c r="E7" s="27">
        <v>0</v>
      </c>
      <c r="F7" s="31">
        <f>IF(Results!S11="gas",1.1877,0.92)</f>
        <v>0.92</v>
      </c>
      <c r="G7" s="31">
        <f>IF(Results!S11="gas",1.013,0)</f>
        <v>0</v>
      </c>
      <c r="H7" s="26" t="e">
        <f>Results!C11/Results!F11*Worksheet!N7</f>
        <v>#DIV/0!</v>
      </c>
      <c r="I7" s="31" t="e">
        <f>Results!D11/Results!G11*Worksheet!O7</f>
        <v>#DIV/0!</v>
      </c>
      <c r="J7" s="31" t="e">
        <f>Results!E11/Results!H11*Worksheet!P7</f>
        <v>#DIV/0!</v>
      </c>
      <c r="K7" s="26">
        <f>IF(Results!O11="gas",1/Results!P11,3.413/Results!P11)</f>
        <v>0.34649746192893399</v>
      </c>
      <c r="L7" s="31">
        <f>3.413/Results!R11</f>
        <v>0.34129999999999999</v>
      </c>
      <c r="M7" s="35">
        <f>1/Results!T11</f>
        <v>1.1363636363636365</v>
      </c>
      <c r="N7" s="31">
        <f>IF(+Results!O11="gas",1/0.78,3.413/7.7)</f>
        <v>0.44324675324675322</v>
      </c>
      <c r="O7" s="31">
        <f>3.413/13</f>
        <v>0.2625384615384615</v>
      </c>
      <c r="P7" s="31">
        <f>IF(+Results!S11="gas",1/0.59,1/0.92)</f>
        <v>1.0869565217391304</v>
      </c>
      <c r="Q7" s="26" t="e">
        <f>(B7*K7-C7)*(Results!I11*Results!F11*Worksheet!H7)/(Worksheet!K7*Results!C11)</f>
        <v>#DIV/0!</v>
      </c>
      <c r="R7" s="31" t="e">
        <f>(D7*L7-E7)*(Results!J11*Results!G11*Worksheet!I7)/(Worksheet!L7*Results!D11)</f>
        <v>#DIV/0!</v>
      </c>
      <c r="S7" s="31" t="e">
        <f>(F7*M7-G7)*(Results!K11*Results!H11*Worksheet!J7)/(Worksheet!M7*Results!E11)</f>
        <v>#DIV/0!</v>
      </c>
      <c r="T7" s="26" t="e">
        <f>Results!C11*(Worksheet!Q7/Results!F11)</f>
        <v>#DIV/0!</v>
      </c>
      <c r="U7" s="31" t="e">
        <f>Results!D11*(Worksheet!R7/Results!G11)</f>
        <v>#DIV/0!</v>
      </c>
      <c r="V7" s="31" t="e">
        <f>Results!E11*(Worksheet!S7/Results!H11)</f>
        <v>#DIV/0!</v>
      </c>
      <c r="W7" s="95">
        <f>((2400/B16)^(0.304*Results!M11))</f>
        <v>1</v>
      </c>
      <c r="X7" s="96">
        <f>(1+(0.069*Results!M11*(C16-3)))</f>
        <v>1</v>
      </c>
      <c r="Y7" s="96">
        <f>((2/D16)^(0.12*Results!M11))</f>
        <v>1</v>
      </c>
      <c r="Z7" s="97">
        <f t="shared" si="0"/>
        <v>1</v>
      </c>
      <c r="AA7" s="26" t="e">
        <f>SUM(T7:V7)+Results!L11</f>
        <v>#DIV/0!</v>
      </c>
      <c r="AB7" s="35">
        <f>(SUM(Results!C11:E11)+N16)*Z7</f>
        <v>21.395529010238906</v>
      </c>
      <c r="AC7" s="37" t="e">
        <f>100*AA7/AB7</f>
        <v>#DIV/0!</v>
      </c>
      <c r="AD7" s="31"/>
      <c r="AE7" s="106"/>
    </row>
    <row r="8" spans="1:31" ht="13" thickBot="1" x14ac:dyDescent="0.3">
      <c r="A8" s="25">
        <v>5</v>
      </c>
      <c r="B8" s="28">
        <f>IF(Results!O12="gas",1.0943,2.2561)</f>
        <v>1.0943000000000001</v>
      </c>
      <c r="C8" s="33">
        <f>IF(Results!O12="gas",0.403,0)</f>
        <v>0.40300000000000002</v>
      </c>
      <c r="D8" s="32">
        <v>3.8090000000000002</v>
      </c>
      <c r="E8" s="29">
        <v>0</v>
      </c>
      <c r="F8" s="33">
        <f>IF(Results!S12="gas",1.1877,0.92)</f>
        <v>0.92</v>
      </c>
      <c r="G8" s="33">
        <f>IF(Results!S12="gas",1.013,0)</f>
        <v>0</v>
      </c>
      <c r="H8" s="28" t="e">
        <f>Results!C12/Results!F12*Worksheet!N8</f>
        <v>#DIV/0!</v>
      </c>
      <c r="I8" s="33" t="e">
        <f>Results!D12/Results!G12*Worksheet!O8</f>
        <v>#DIV/0!</v>
      </c>
      <c r="J8" s="33" t="e">
        <f>Results!E12/Results!H12*Worksheet!P8</f>
        <v>#DIV/0!</v>
      </c>
      <c r="K8" s="28">
        <f>IF(Results!O12="gas",1/Results!P12,3.413/Results!P12)</f>
        <v>1.0416666666666667</v>
      </c>
      <c r="L8" s="33">
        <f>3.413/Results!R12</f>
        <v>0.34129999999999999</v>
      </c>
      <c r="M8" s="36">
        <f>1/Results!T12</f>
        <v>1.1363636363636365</v>
      </c>
      <c r="N8" s="33">
        <f>IF(+Results!O12="gas",1/0.78,3.413/7.7)</f>
        <v>1.2820512820512819</v>
      </c>
      <c r="O8" s="33">
        <f>3.413/13</f>
        <v>0.2625384615384615</v>
      </c>
      <c r="P8" s="33">
        <f>IF(+Results!S12="gas",1/0.59,1/0.92)</f>
        <v>1.0869565217391304</v>
      </c>
      <c r="Q8" s="28" t="e">
        <f>(B8*K8-C8)*(Results!I12*Results!F12*Worksheet!H8)/(Worksheet!K8*Results!C12)</f>
        <v>#DIV/0!</v>
      </c>
      <c r="R8" s="33" t="e">
        <f>(D8*L8-E8)*(Results!J12*Results!G12*Worksheet!I8)/(Worksheet!L8*Results!D12)</f>
        <v>#DIV/0!</v>
      </c>
      <c r="S8" s="33" t="e">
        <f>(F8*M8-G8)*(Results!K12*Results!H12*Worksheet!J8)/(Worksheet!M8*Results!E12)</f>
        <v>#DIV/0!</v>
      </c>
      <c r="T8" s="28" t="e">
        <f>Results!C12*(Worksheet!Q8/Results!F12)</f>
        <v>#DIV/0!</v>
      </c>
      <c r="U8" s="33" t="e">
        <f>Results!D12*(Worksheet!R8/Results!G12)</f>
        <v>#DIV/0!</v>
      </c>
      <c r="V8" s="33" t="e">
        <f>Results!E12*(Worksheet!S8/Results!H12)</f>
        <v>#DIV/0!</v>
      </c>
      <c r="W8" s="98">
        <f>((2400/B17)^(0.304*Results!M12))</f>
        <v>1</v>
      </c>
      <c r="X8" s="99">
        <f>(1+(0.069*Results!M12*(C17-3)))</f>
        <v>1</v>
      </c>
      <c r="Y8" s="99">
        <f>((2/D17)^(0.12*Results!M12))</f>
        <v>1</v>
      </c>
      <c r="Z8" s="100">
        <f t="shared" si="0"/>
        <v>1</v>
      </c>
      <c r="AA8" s="28" t="e">
        <f>SUM(T8:V8)+Results!L12</f>
        <v>#DIV/0!</v>
      </c>
      <c r="AB8" s="36">
        <f>(SUM(Results!C12:E12)+N17)*Z8</f>
        <v>22.420460750853245</v>
      </c>
      <c r="AC8" s="50" t="e">
        <f>100*AA8/AB8</f>
        <v>#DIV/0!</v>
      </c>
      <c r="AD8" s="31"/>
      <c r="AE8" s="106"/>
    </row>
    <row r="9" spans="1:31" ht="13" thickTop="1" x14ac:dyDescent="0.25"/>
    <row r="10" spans="1:31" ht="13" thickBot="1" x14ac:dyDescent="0.3">
      <c r="C10" t="s">
        <v>47</v>
      </c>
      <c r="U10" s="31"/>
      <c r="V10" s="91"/>
      <c r="W10" s="91"/>
      <c r="X10" s="91"/>
      <c r="Y10" s="91"/>
      <c r="Z10" s="31"/>
    </row>
    <row r="11" spans="1:31" ht="13" customHeight="1" thickTop="1" x14ac:dyDescent="0.25">
      <c r="A11" s="156" t="s">
        <v>5</v>
      </c>
      <c r="B11" s="158" t="s">
        <v>48</v>
      </c>
      <c r="C11" s="159"/>
      <c r="D11" s="160"/>
      <c r="E11" s="158" t="s">
        <v>49</v>
      </c>
      <c r="F11" s="159"/>
      <c r="G11" s="159"/>
      <c r="H11" s="159"/>
      <c r="I11" s="159"/>
      <c r="J11" s="159"/>
      <c r="K11" s="159"/>
      <c r="L11" s="159"/>
      <c r="M11" s="159"/>
      <c r="N11" s="161"/>
      <c r="V11" s="74"/>
      <c r="W11" s="74"/>
      <c r="X11" s="74"/>
      <c r="Y11" s="74"/>
      <c r="AA11" s="74"/>
      <c r="AB11" s="74"/>
    </row>
    <row r="12" spans="1:31" ht="13" thickBot="1" x14ac:dyDescent="0.3">
      <c r="A12" s="157"/>
      <c r="B12" s="75" t="s">
        <v>50</v>
      </c>
      <c r="C12" s="101" t="s">
        <v>51</v>
      </c>
      <c r="D12" s="104" t="s">
        <v>52</v>
      </c>
      <c r="E12" s="75" t="s">
        <v>53</v>
      </c>
      <c r="F12" s="77" t="s">
        <v>54</v>
      </c>
      <c r="G12" s="77" t="s">
        <v>55</v>
      </c>
      <c r="H12" s="77" t="s">
        <v>56</v>
      </c>
      <c r="I12" s="77" t="s">
        <v>57</v>
      </c>
      <c r="J12" s="77" t="s">
        <v>58</v>
      </c>
      <c r="K12" s="77" t="s">
        <v>59</v>
      </c>
      <c r="L12" s="77" t="s">
        <v>60</v>
      </c>
      <c r="M12" s="78" t="s">
        <v>61</v>
      </c>
      <c r="N12" s="79" t="s">
        <v>62</v>
      </c>
    </row>
    <row r="13" spans="1:31" x14ac:dyDescent="0.25">
      <c r="A13" s="24">
        <v>1</v>
      </c>
      <c r="B13" s="9">
        <v>1539</v>
      </c>
      <c r="C13" s="102">
        <v>3</v>
      </c>
      <c r="D13" s="11">
        <v>1</v>
      </c>
      <c r="E13" s="80">
        <f>0.91*B13/293</f>
        <v>4.7798293515358363</v>
      </c>
      <c r="F13" s="43">
        <f>(455+0.8*B13)/293</f>
        <v>5.7549488054607512</v>
      </c>
      <c r="G13" s="43">
        <f>(100+0.05*B13)/293</f>
        <v>0.60392491467576792</v>
      </c>
      <c r="H13" s="43">
        <f>(637+18*C13)/293</f>
        <v>2.3583617747440271</v>
      </c>
      <c r="I13" s="43">
        <f>(413+69*C13)/293</f>
        <v>2.1160409556313993</v>
      </c>
      <c r="J13" s="43">
        <f>(331+39*C13)/293</f>
        <v>1.5290102389078499</v>
      </c>
      <c r="K13" s="43">
        <f>(398+113*C13)/293</f>
        <v>2.5153583617747439</v>
      </c>
      <c r="L13" s="43">
        <f>(60+24*C13)/293</f>
        <v>0.45051194539249145</v>
      </c>
      <c r="M13" s="81">
        <f>(53.53+15.18*C13)/293</f>
        <v>0.3381228668941979</v>
      </c>
      <c r="N13" s="82">
        <f>SUM(E13:M13)</f>
        <v>20.446109215017067</v>
      </c>
    </row>
    <row r="14" spans="1:31" x14ac:dyDescent="0.25">
      <c r="A14" s="24">
        <v>2</v>
      </c>
      <c r="B14" s="9">
        <v>1539</v>
      </c>
      <c r="C14" s="102">
        <v>3</v>
      </c>
      <c r="D14" s="11">
        <v>1</v>
      </c>
      <c r="E14" s="80">
        <f>0.91*B14/293</f>
        <v>4.7798293515358363</v>
      </c>
      <c r="F14" s="43">
        <f>(455+0.8*B14)/293</f>
        <v>5.7549488054607512</v>
      </c>
      <c r="G14" s="43">
        <f>(100+0.05*B14)/293</f>
        <v>0.60392491467576792</v>
      </c>
      <c r="H14" s="43">
        <f>(637+18*C14)/293</f>
        <v>2.3583617747440271</v>
      </c>
      <c r="I14" s="43">
        <f>(413+69*C14)/293</f>
        <v>2.1160409556313993</v>
      </c>
      <c r="J14" s="43">
        <f>(22.6+2.7*C14)/10+(22.6+2.7*C14)/293</f>
        <v>3.1747781569965872</v>
      </c>
      <c r="K14" s="43">
        <f>(14.3+4.05*C14)/10+(31.5+8.93*C14)/293</f>
        <v>2.8439419795221843</v>
      </c>
      <c r="L14" s="43">
        <f t="shared" ref="L14:L17" si="1">(60+24*C14)/293</f>
        <v>0.45051194539249145</v>
      </c>
      <c r="M14" s="81">
        <f t="shared" ref="M14:M17" si="2">(53.53+15.18*C14)/293</f>
        <v>0.3381228668941979</v>
      </c>
      <c r="N14" s="82">
        <f t="shared" ref="N14:N17" si="3">SUM(E14:M14)</f>
        <v>22.420460750853245</v>
      </c>
    </row>
    <row r="15" spans="1:31" x14ac:dyDescent="0.25">
      <c r="A15" s="24">
        <v>3</v>
      </c>
      <c r="B15" s="9">
        <v>1539</v>
      </c>
      <c r="C15" s="102">
        <v>2</v>
      </c>
      <c r="D15" s="11">
        <v>1</v>
      </c>
      <c r="E15" s="80">
        <f>0.91*B15/293</f>
        <v>4.7798293515358363</v>
      </c>
      <c r="F15" s="43">
        <f>(455+0.8*B15)/293</f>
        <v>5.7549488054607512</v>
      </c>
      <c r="G15" s="43">
        <f>(100+0.05*B15)/293</f>
        <v>0.60392491467576792</v>
      </c>
      <c r="H15" s="43">
        <f>(637+18*C15)/293</f>
        <v>2.2969283276450514</v>
      </c>
      <c r="I15" s="43">
        <f>(413+69*C15)/293</f>
        <v>1.8805460750853242</v>
      </c>
      <c r="J15" s="43">
        <f>(22.6+2.7*C15)/10+(22.6+2.7*C15)/293</f>
        <v>2.8955631399317405</v>
      </c>
      <c r="K15" s="43">
        <f>(14.3+4.05*C15)/10+(31.5+8.93*C15)/293</f>
        <v>2.4084641638225253</v>
      </c>
      <c r="L15" s="43">
        <f t="shared" si="1"/>
        <v>0.36860068259385664</v>
      </c>
      <c r="M15" s="81">
        <f t="shared" si="2"/>
        <v>0.28631399317406142</v>
      </c>
      <c r="N15" s="82">
        <f t="shared" si="3"/>
        <v>21.275119453924916</v>
      </c>
    </row>
    <row r="16" spans="1:31" x14ac:dyDescent="0.25">
      <c r="A16" s="24">
        <v>4</v>
      </c>
      <c r="B16" s="9">
        <v>1539</v>
      </c>
      <c r="C16" s="102">
        <v>4</v>
      </c>
      <c r="D16" s="11">
        <v>1</v>
      </c>
      <c r="E16" s="80">
        <f>0.91*B16/293</f>
        <v>4.7798293515358363</v>
      </c>
      <c r="F16" s="43">
        <f>(455+0.8*B16)/293</f>
        <v>5.7549488054607512</v>
      </c>
      <c r="G16" s="43">
        <f>(100+0.05*B16)/293</f>
        <v>0.60392491467576792</v>
      </c>
      <c r="H16" s="43">
        <f>(637+18*C16)/293</f>
        <v>2.4197952218430032</v>
      </c>
      <c r="I16" s="43">
        <f>(413+69*C16)/293</f>
        <v>2.3515358361774745</v>
      </c>
      <c r="J16" s="43">
        <f>(331+39*C16)/293</f>
        <v>1.6621160409556315</v>
      </c>
      <c r="K16" s="43">
        <f>(398+113*C16)/293</f>
        <v>2.901023890784983</v>
      </c>
      <c r="L16" s="43">
        <f t="shared" si="1"/>
        <v>0.53242320819112632</v>
      </c>
      <c r="M16" s="81">
        <f t="shared" si="2"/>
        <v>0.38993174061433444</v>
      </c>
      <c r="N16" s="82">
        <f t="shared" si="3"/>
        <v>21.395529010238906</v>
      </c>
    </row>
    <row r="17" spans="1:14" ht="13" thickBot="1" x14ac:dyDescent="0.3">
      <c r="A17" s="25">
        <v>5</v>
      </c>
      <c r="B17" s="76">
        <v>1539</v>
      </c>
      <c r="C17" s="103">
        <v>3</v>
      </c>
      <c r="D17" s="105">
        <v>1</v>
      </c>
      <c r="E17" s="83">
        <f>0.91*B17/293</f>
        <v>4.7798293515358363</v>
      </c>
      <c r="F17" s="84">
        <f>(455+0.8*B17)/293</f>
        <v>5.7549488054607512</v>
      </c>
      <c r="G17" s="84">
        <f>(100+0.05*B17)/293</f>
        <v>0.60392491467576792</v>
      </c>
      <c r="H17" s="84">
        <f>(637+18*C17)/293</f>
        <v>2.3583617747440271</v>
      </c>
      <c r="I17" s="84">
        <f>(413+69*C17)/293</f>
        <v>2.1160409556313993</v>
      </c>
      <c r="J17" s="84">
        <f>(22.6+2.7*C17)/10+(22.6+2.7*C17)/293</f>
        <v>3.1747781569965872</v>
      </c>
      <c r="K17" s="84">
        <f>(14.3+4.05*C17)/10+(31.5+8.93*C17)/293</f>
        <v>2.8439419795221843</v>
      </c>
      <c r="L17" s="84">
        <f t="shared" si="1"/>
        <v>0.45051194539249145</v>
      </c>
      <c r="M17" s="85">
        <f t="shared" si="2"/>
        <v>0.3381228668941979</v>
      </c>
      <c r="N17" s="86">
        <f t="shared" si="3"/>
        <v>22.420460750853245</v>
      </c>
    </row>
    <row r="18" spans="1:14" ht="13" thickTop="1" x14ac:dyDescent="0.25"/>
    <row r="19" spans="1:14" x14ac:dyDescent="0.25">
      <c r="E19" s="87"/>
    </row>
  </sheetData>
  <mergeCells count="29">
    <mergeCell ref="S2:S3"/>
    <mergeCell ref="O2:O3"/>
    <mergeCell ref="P2:P3"/>
    <mergeCell ref="Q2:Q3"/>
    <mergeCell ref="R2:R3"/>
    <mergeCell ref="A1:A3"/>
    <mergeCell ref="H2:H3"/>
    <mergeCell ref="I2:I3"/>
    <mergeCell ref="J2:J3"/>
    <mergeCell ref="A11:A12"/>
    <mergeCell ref="B11:D11"/>
    <mergeCell ref="E11:N11"/>
    <mergeCell ref="K2:K3"/>
    <mergeCell ref="L2:L3"/>
    <mergeCell ref="M2:M3"/>
    <mergeCell ref="N2:N3"/>
    <mergeCell ref="AC1:AC3"/>
    <mergeCell ref="T2:T3"/>
    <mergeCell ref="U2:U3"/>
    <mergeCell ref="V2:V3"/>
    <mergeCell ref="AA2:AA3"/>
    <mergeCell ref="AA1:AB1"/>
    <mergeCell ref="AB2:AB3"/>
    <mergeCell ref="W1:Z1"/>
    <mergeCell ref="W2:W3"/>
    <mergeCell ref="X2:X3"/>
    <mergeCell ref="Y2:Y3"/>
    <mergeCell ref="Z2:Z3"/>
    <mergeCell ref="T1:V1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Results</vt:lpstr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Philip Fairey</dc:creator>
  <cp:keywords/>
  <dc:description/>
  <cp:lastModifiedBy>Nathan Oliver</cp:lastModifiedBy>
  <cp:revision/>
  <dcterms:created xsi:type="dcterms:W3CDTF">2002-08-05T13:11:00Z</dcterms:created>
  <dcterms:modified xsi:type="dcterms:W3CDTF">2025-01-07T23:16:05Z</dcterms:modified>
  <cp:category/>
  <cp:contentStatus/>
</cp:coreProperties>
</file>